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/Users/leahbrainerd/Downloads/"/>
    </mc:Choice>
  </mc:AlternateContent>
  <xr:revisionPtr revIDLastSave="0" documentId="13_ncr:1_{D0FD2128-F67B-B442-82A9-B240106654B0}" xr6:coauthVersionLast="47" xr6:coauthVersionMax="47" xr10:uidLastSave="{00000000-0000-0000-0000-000000000000}"/>
  <bookViews>
    <workbookView xWindow="14020" yWindow="560" windowWidth="14720" windowHeight="16120" xr2:uid="{00000000-000D-0000-FFFF-FFFF00000000}"/>
  </bookViews>
  <sheets>
    <sheet name="Six Month Plan" sheetId="3" r:id="rId1"/>
  </sheets>
  <definedNames>
    <definedName name="ALTEXP">'Six Month Plan'!$G$6</definedName>
    <definedName name="LYALTEXP">'Six Month Plan'!$G$6</definedName>
    <definedName name="LYAPR">'Six Month Plan'!$E$18</definedName>
    <definedName name="LYAVGIN">'Six Month Plan'!$G$12</definedName>
    <definedName name="LYCD">'Six Month Plan'!$G$7</definedName>
    <definedName name="LYFEB">'Six Month Plan'!$C$18</definedName>
    <definedName name="LYGM">'Six Month Plan'!$G$8</definedName>
    <definedName name="LYGMROI">'Six Month Plan'!$G$13</definedName>
    <definedName name="LYIMU">'Six Month Plan'!$G$3</definedName>
    <definedName name="LYIT">'Six Month Plan'!$G$11</definedName>
    <definedName name="LYJUL">'Six Month Plan'!$H$18</definedName>
    <definedName name="LYJUN">'Six Month Plan'!$G$18</definedName>
    <definedName name="LYMAR">'Six Month Plan'!$D$18</definedName>
    <definedName name="LYMAY">'Six Month Plan'!$F$18</definedName>
    <definedName name="LYMD">'Six Month Plan'!$G$4</definedName>
    <definedName name="LYMMU">'Six Month Plan'!$G$5</definedName>
    <definedName name="LYNP">'Six Month Plan'!$G$10</definedName>
    <definedName name="LYOPEX">'Six Month Plan'!$G$9</definedName>
    <definedName name="LYSALES">'Six Month Plan'!$I$18</definedName>
    <definedName name="LYTOTMD">'Six Month Plan'!$I$25</definedName>
    <definedName name="PLFEB">'Six Month Plan'!$C$19</definedName>
    <definedName name="PLIMU">'Six Month Plan'!$H$3</definedName>
    <definedName name="PLMAR">'Six Month Plan'!$D$19</definedName>
    <definedName name="PLNALTEXP">'Six Month Plan'!$H$6</definedName>
    <definedName name="PLNAPR">'Six Month Plan'!$E$19</definedName>
    <definedName name="PLNAVGINV">'Six Month Plan'!$H$12</definedName>
    <definedName name="PLNCD">'Six Month Plan'!$H$7</definedName>
    <definedName name="PLNFEB">'Six Month Plan'!$C$19</definedName>
    <definedName name="PLNGM">'Six Month Plan'!$H$8</definedName>
    <definedName name="PLNGMROI">'Six Month Plan'!$H$13</definedName>
    <definedName name="PLNIT">'Six Month Plan'!$H$11</definedName>
    <definedName name="PLNJUL">'Six Month Plan'!$H$19</definedName>
    <definedName name="PLNJUN">'Six Month Plan'!$G$19</definedName>
    <definedName name="PLNMAR">'Six Month Plan'!$D$19</definedName>
    <definedName name="PLNMAY">'Six Month Plan'!$F$19</definedName>
    <definedName name="PLNMD">'Six Month Plan'!$H$4</definedName>
    <definedName name="PLNMMU">'Six Month Plan'!$H$5</definedName>
    <definedName name="PLNNP">'Six Month Plan'!$H$10</definedName>
    <definedName name="PLNOPEX">'Six Month Plan'!$H$9</definedName>
    <definedName name="PLNSALES">'Six Month Plan'!$I$19</definedName>
    <definedName name="STSAPRLY">'Six Month Plan'!$E$30</definedName>
    <definedName name="STSAPRPLN">'Six Month Plan'!$E$33</definedName>
    <definedName name="STSAUGPLN">'Six Month Plan'!$C$33</definedName>
    <definedName name="STSFEBLY">'Six Month Plan'!$C$30</definedName>
    <definedName name="STSFEBPLN">'Six Month Plan'!$C$33</definedName>
    <definedName name="STSJULLY">'Six Month Plan'!$H$30</definedName>
    <definedName name="STSJULPLN">'Six Month Plan'!$H$33</definedName>
    <definedName name="STSJUNLY">'Six Month Plan'!$G$30</definedName>
    <definedName name="STSJUNPLN">'Six Month Plan'!$G$33</definedName>
    <definedName name="STSMARLY">'Six Month Plan'!$D$30</definedName>
    <definedName name="STSMARPLN">'Six Month Plan'!$D$33</definedName>
    <definedName name="STSMAYLY">'Six Month Plan'!$F$30</definedName>
    <definedName name="STSMAYPLN">'Six Month Plan'!$F$33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3" l="1"/>
  <c r="H5" i="3"/>
  <c r="G3" i="3"/>
  <c r="H3" i="3"/>
  <c r="G13" i="3"/>
  <c r="G12" i="3"/>
  <c r="G11" i="3" s="1"/>
  <c r="H25" i="3"/>
  <c r="G25" i="3"/>
  <c r="F25" i="3"/>
  <c r="E25" i="3"/>
  <c r="D25" i="3"/>
  <c r="C25" i="3"/>
  <c r="G8" i="3"/>
  <c r="G34" i="3"/>
  <c r="G36" i="3" s="1"/>
  <c r="H24" i="3"/>
  <c r="G23" i="3"/>
  <c r="F23" i="3"/>
  <c r="E23" i="3"/>
  <c r="D23" i="3"/>
  <c r="D34" i="3" s="1"/>
  <c r="D36" i="3" s="1"/>
  <c r="C23" i="3"/>
  <c r="G32" i="3"/>
  <c r="F32" i="3"/>
  <c r="I29" i="3"/>
  <c r="H8" i="3"/>
  <c r="H18" i="3"/>
  <c r="H34" i="3" s="1"/>
  <c r="H36" i="3" s="1"/>
  <c r="G18" i="3"/>
  <c r="F18" i="3"/>
  <c r="F34" i="3" s="1"/>
  <c r="F36" i="3" s="1"/>
  <c r="E18" i="3"/>
  <c r="E32" i="3" s="1"/>
  <c r="D18" i="3"/>
  <c r="D32" i="3" s="1"/>
  <c r="C18" i="3"/>
  <c r="C32" i="3" s="1"/>
  <c r="I22" i="3"/>
  <c r="I21" i="3"/>
  <c r="I19" i="3"/>
  <c r="I20" i="3" s="1"/>
  <c r="E34" i="3" l="1"/>
  <c r="E36" i="3" s="1"/>
  <c r="C19" i="3"/>
  <c r="H32" i="3"/>
  <c r="G19" i="3"/>
  <c r="F19" i="3"/>
  <c r="D19" i="3"/>
  <c r="H19" i="3"/>
  <c r="E19" i="3"/>
  <c r="I26" i="3"/>
  <c r="C34" i="3"/>
  <c r="I34" i="3" s="1"/>
  <c r="I25" i="3"/>
  <c r="G26" i="3"/>
  <c r="G27" i="3" s="1"/>
  <c r="H31" i="3" l="1"/>
  <c r="G24" i="3" s="1"/>
  <c r="H20" i="3"/>
  <c r="G31" i="3"/>
  <c r="F24" i="3" s="1"/>
  <c r="G20" i="3"/>
  <c r="G35" i="3"/>
  <c r="G37" i="3" s="1"/>
  <c r="C36" i="3"/>
  <c r="I36" i="3" s="1"/>
  <c r="D35" i="3"/>
  <c r="D37" i="3" s="1"/>
  <c r="D20" i="3"/>
  <c r="D31" i="3"/>
  <c r="C24" i="3" s="1"/>
  <c r="F31" i="3"/>
  <c r="E24" i="3" s="1"/>
  <c r="F20" i="3"/>
  <c r="F35" i="3"/>
  <c r="F37" i="3" s="1"/>
  <c r="H26" i="3"/>
  <c r="H27" i="3" s="1"/>
  <c r="E26" i="3"/>
  <c r="E27" i="3" s="1"/>
  <c r="D26" i="3"/>
  <c r="D27" i="3" s="1"/>
  <c r="F26" i="3"/>
  <c r="F27" i="3" s="1"/>
  <c r="C26" i="3"/>
  <c r="C27" i="3" s="1"/>
  <c r="C31" i="3"/>
  <c r="H12" i="3" s="1"/>
  <c r="C20" i="3"/>
  <c r="C35" i="3"/>
  <c r="E31" i="3"/>
  <c r="D24" i="3" s="1"/>
  <c r="E20" i="3"/>
  <c r="C28" i="3"/>
  <c r="G4" i="3"/>
  <c r="I27" i="3"/>
  <c r="D28" i="3"/>
  <c r="H28" i="3"/>
  <c r="E28" i="3"/>
  <c r="G28" i="3"/>
  <c r="F28" i="3"/>
  <c r="H13" i="3" l="1"/>
  <c r="H11" i="3"/>
  <c r="E35" i="3"/>
  <c r="E37" i="3" s="1"/>
  <c r="H35" i="3"/>
  <c r="H37" i="3" s="1"/>
  <c r="C37" i="3"/>
  <c r="I28" i="3"/>
  <c r="I37" i="3" l="1"/>
  <c r="I35" i="3"/>
</calcChain>
</file>

<file path=xl/sharedStrings.xml><?xml version="1.0" encoding="utf-8"?>
<sst xmlns="http://schemas.openxmlformats.org/spreadsheetml/2006/main" count="68" uniqueCount="64">
  <si>
    <t>SIX-MONTH MERCHANDISING PLAN</t>
  </si>
  <si>
    <t>Department Name:</t>
  </si>
  <si>
    <t>Department Number:</t>
  </si>
  <si>
    <t>Merchandise Manager:</t>
  </si>
  <si>
    <t>Buyer</t>
  </si>
  <si>
    <t>Period:</t>
  </si>
  <si>
    <t>SALES</t>
  </si>
  <si>
    <t>EOM STOCK</t>
  </si>
  <si>
    <t>BOM STOCK</t>
  </si>
  <si>
    <t>PLANNED</t>
  </si>
  <si>
    <t xml:space="preserve">    PURCHASES</t>
  </si>
  <si>
    <t>AUTHORIZATION SIGNATURES:</t>
  </si>
  <si>
    <t>FALL</t>
  </si>
  <si>
    <t>Last Year</t>
  </si>
  <si>
    <t>Plan</t>
  </si>
  <si>
    <t>Revised</t>
  </si>
  <si>
    <t>% Change</t>
  </si>
  <si>
    <t>SEASON</t>
  </si>
  <si>
    <t>TOTALS</t>
  </si>
  <si>
    <t>% alteration expense</t>
  </si>
  <si>
    <t>% cash discount</t>
  </si>
  <si>
    <t>% operating expense</t>
  </si>
  <si>
    <t>% net profit</t>
  </si>
  <si>
    <t>% gross margin</t>
  </si>
  <si>
    <t>AUTHORIZATION DATE:</t>
  </si>
  <si>
    <t>Buyer:</t>
  </si>
  <si>
    <t>% of LY Sales</t>
  </si>
  <si>
    <t>LY Stock/Sales Ratio</t>
  </si>
  <si>
    <t>Merchandise Manager</t>
  </si>
  <si>
    <t>% initial markup</t>
  </si>
  <si>
    <t>% of PL Sales</t>
  </si>
  <si>
    <t>LY Sales</t>
  </si>
  <si>
    <t>PL Sales</t>
  </si>
  <si>
    <t>MARKDOWNS</t>
  </si>
  <si>
    <t>LY Markdowns</t>
  </si>
  <si>
    <t>PL Markdowns</t>
  </si>
  <si>
    <t>% of LY Markdowns</t>
  </si>
  <si>
    <t>LY BOM Stock</t>
  </si>
  <si>
    <t>PL BOM Stock</t>
  </si>
  <si>
    <t>PL Stock/Sales Ratio</t>
  </si>
  <si>
    <t>LY EOM Stock</t>
  </si>
  <si>
    <t>PL EOM Stock</t>
  </si>
  <si>
    <t>PL Purchases @ Retail</t>
  </si>
  <si>
    <t>LY Purchases @ Retail</t>
  </si>
  <si>
    <t>LY Purchases @ Cost</t>
  </si>
  <si>
    <t>PL Purchases @ Cost</t>
  </si>
  <si>
    <t>% of PL Markdowns</t>
  </si>
  <si>
    <t>Clare</t>
  </si>
  <si>
    <t>% maintained markup</t>
  </si>
  <si>
    <t>Target</t>
  </si>
  <si>
    <t>% markdowns (reductions)</t>
  </si>
  <si>
    <t>inventory turnover (ratio)</t>
  </si>
  <si>
    <t>average stock $</t>
  </si>
  <si>
    <t>GMROI (ratio) $</t>
  </si>
  <si>
    <t>Leah Brainerd</t>
  </si>
  <si>
    <t>April</t>
  </si>
  <si>
    <t>May</t>
  </si>
  <si>
    <t>June</t>
  </si>
  <si>
    <t>July</t>
  </si>
  <si>
    <t>Clothing stores</t>
  </si>
  <si>
    <t>February</t>
  </si>
  <si>
    <t>March</t>
  </si>
  <si>
    <t>COST MULT</t>
  </si>
  <si>
    <t>open to 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</si>
</sst>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 Black"/>
      <family val="2"/>
    </font>
    <font>
      <sz val="11"/>
      <name val="Arial Blac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0" fillId="0" borderId="2" xfId="0" applyFill="1" applyBorder="1"/>
    <xf numFmtId="0" fontId="0" fillId="0" borderId="4" xfId="0" applyFill="1" applyBorder="1"/>
    <xf numFmtId="0" fontId="5" fillId="0" borderId="3" xfId="0" applyFont="1" applyFill="1" applyBorder="1"/>
    <xf numFmtId="0" fontId="5" fillId="0" borderId="2" xfId="0" applyFont="1" applyFill="1" applyBorder="1"/>
    <xf numFmtId="0" fontId="0" fillId="0" borderId="3" xfId="0" applyFill="1" applyBorder="1"/>
    <xf numFmtId="0" fontId="5" fillId="0" borderId="4" xfId="0" applyFont="1" applyFill="1" applyBorder="1"/>
    <xf numFmtId="8" fontId="0" fillId="0" borderId="0" xfId="0" applyNumberFormat="1"/>
    <xf numFmtId="164" fontId="0" fillId="0" borderId="0" xfId="0" applyNumberFormat="1"/>
    <xf numFmtId="10" fontId="0" fillId="0" borderId="5" xfId="0" applyNumberFormat="1" applyFill="1" applyBorder="1"/>
    <xf numFmtId="164" fontId="0" fillId="0" borderId="5" xfId="0" applyNumberFormat="1" applyFill="1" applyBorder="1"/>
    <xf numFmtId="2" fontId="0" fillId="0" borderId="5" xfId="0" applyNumberFormat="1" applyFill="1" applyBorder="1"/>
    <xf numFmtId="10" fontId="0" fillId="0" borderId="7" xfId="0" applyNumberFormat="1" applyFill="1" applyBorder="1"/>
    <xf numFmtId="164" fontId="0" fillId="0" borderId="8" xfId="0" applyNumberFormat="1" applyFill="1" applyBorder="1"/>
    <xf numFmtId="164" fontId="0" fillId="0" borderId="9" xfId="0" applyNumberFormat="1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3" xfId="0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/>
    <xf numFmtId="9" fontId="0" fillId="0" borderId="0" xfId="0" applyNumberFormat="1"/>
    <xf numFmtId="10" fontId="0" fillId="3" borderId="5" xfId="0" applyNumberFormat="1" applyFill="1" applyBorder="1"/>
    <xf numFmtId="164" fontId="0" fillId="3" borderId="5" xfId="0" applyNumberFormat="1" applyFill="1" applyBorder="1"/>
    <xf numFmtId="0" fontId="5" fillId="2" borderId="12" xfId="0" applyFont="1" applyFill="1" applyBorder="1"/>
    <xf numFmtId="10" fontId="0" fillId="3" borderId="7" xfId="0" applyNumberFormat="1" applyFill="1" applyBorder="1"/>
    <xf numFmtId="2" fontId="0" fillId="4" borderId="6" xfId="0" applyNumberFormat="1" applyFill="1" applyBorder="1"/>
    <xf numFmtId="164" fontId="0" fillId="3" borderId="8" xfId="0" applyNumberFormat="1" applyFill="1" applyBorder="1"/>
    <xf numFmtId="44" fontId="0" fillId="0" borderId="5" xfId="1" applyFont="1" applyFill="1" applyBorder="1"/>
    <xf numFmtId="44" fontId="6" fillId="5" borderId="9" xfId="1" applyFont="1" applyFill="1" applyBorder="1"/>
    <xf numFmtId="44" fontId="5" fillId="5" borderId="9" xfId="1" applyFont="1" applyFill="1" applyBorder="1"/>
    <xf numFmtId="44" fontId="7" fillId="3" borderId="5" xfId="1" applyFont="1" applyFill="1" applyBorder="1"/>
    <xf numFmtId="44" fontId="0" fillId="0" borderId="8" xfId="1" applyFont="1" applyFill="1" applyBorder="1"/>
    <xf numFmtId="44" fontId="7" fillId="4" borderId="8" xfId="1" applyFont="1" applyFill="1" applyBorder="1"/>
    <xf numFmtId="0" fontId="2" fillId="2" borderId="11" xfId="0" applyFont="1" applyFill="1" applyBorder="1" applyAlignment="1">
      <alignment horizontal="center"/>
    </xf>
    <xf numFmtId="0" fontId="0" fillId="2" borderId="17" xfId="0" applyFill="1" applyBorder="1"/>
    <xf numFmtId="0" fontId="0" fillId="2" borderId="0" xfId="0" applyFill="1" applyBorder="1"/>
    <xf numFmtId="0" fontId="0" fillId="2" borderId="18" xfId="0" applyFill="1" applyBorder="1"/>
    <xf numFmtId="10" fontId="0" fillId="3" borderId="16" xfId="0" applyNumberFormat="1" applyFill="1" applyBorder="1"/>
    <xf numFmtId="10" fontId="0" fillId="4" borderId="16" xfId="0" applyNumberFormat="1" applyFill="1" applyBorder="1"/>
    <xf numFmtId="10" fontId="0" fillId="5" borderId="16" xfId="0" applyNumberFormat="1" applyFill="1" applyBorder="1"/>
    <xf numFmtId="2" fontId="0" fillId="3" borderId="16" xfId="0" applyNumberFormat="1" applyFill="1" applyBorder="1"/>
    <xf numFmtId="164" fontId="0" fillId="3" borderId="16" xfId="0" applyNumberFormat="1" applyFill="1" applyBorder="1"/>
    <xf numFmtId="6" fontId="0" fillId="0" borderId="0" xfId="0" applyNumberFormat="1" applyFill="1" applyBorder="1"/>
    <xf numFmtId="44" fontId="6" fillId="3" borderId="5" xfId="1" applyFont="1" applyFill="1" applyBorder="1"/>
    <xf numFmtId="164" fontId="0" fillId="0" borderId="6" xfId="0" applyNumberFormat="1" applyFill="1" applyBorder="1"/>
    <xf numFmtId="0" fontId="5" fillId="2" borderId="13" xfId="0" applyFont="1" applyFill="1" applyBorder="1"/>
    <xf numFmtId="0" fontId="1" fillId="0" borderId="1" xfId="0" applyFont="1" applyBorder="1"/>
    <xf numFmtId="10" fontId="0" fillId="4" borderId="16" xfId="0" applyNumberForma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8" fontId="1" fillId="0" borderId="0" xfId="0" applyNumberFormat="1" applyFont="1"/>
    <xf numFmtId="14" fontId="0" fillId="0" borderId="1" xfId="0" applyNumberFormat="1" applyBorder="1"/>
    <xf numFmtId="10" fontId="0" fillId="0" borderId="16" xfId="2" applyNumberFormat="1" applyFont="1" applyFill="1" applyBorder="1"/>
    <xf numFmtId="0" fontId="0" fillId="0" borderId="16" xfId="0" applyFill="1" applyBorder="1"/>
    <xf numFmtId="44" fontId="0" fillId="0" borderId="16" xfId="1" applyFont="1" applyFill="1" applyBorder="1"/>
    <xf numFmtId="10" fontId="0" fillId="7" borderId="16" xfId="0" applyNumberFormat="1" applyFill="1" applyBorder="1"/>
    <xf numFmtId="2" fontId="0" fillId="7" borderId="16" xfId="0" applyNumberFormat="1" applyFill="1" applyBorder="1"/>
    <xf numFmtId="164" fontId="0" fillId="7" borderId="16" xfId="0" applyNumberFormat="1" applyFill="1" applyBorder="1"/>
    <xf numFmtId="164" fontId="0" fillId="6" borderId="19" xfId="0" applyNumberFormat="1" applyFill="1" applyBorder="1"/>
    <xf numFmtId="164" fontId="0" fillId="6" borderId="8" xfId="0" applyNumberFormat="1" applyFill="1" applyBorder="1"/>
    <xf numFmtId="164" fontId="0" fillId="6" borderId="5" xfId="0" applyNumberFormat="1" applyFill="1" applyBorder="1"/>
    <xf numFmtId="2" fontId="0" fillId="6" borderId="6" xfId="0" applyNumberFormat="1" applyFill="1" applyBorder="1"/>
    <xf numFmtId="0" fontId="1" fillId="0" borderId="0" xfId="0" applyFont="1"/>
    <xf numFmtId="44" fontId="0" fillId="5" borderId="9" xfId="0" applyNumberFormat="1" applyFill="1" applyBorder="1"/>
    <xf numFmtId="0" fontId="1" fillId="0" borderId="0" xfId="0" applyFont="1" applyFill="1"/>
    <xf numFmtId="0" fontId="0" fillId="0" borderId="0" xfId="0" applyFill="1"/>
    <xf numFmtId="2" fontId="0" fillId="4" borderId="12" xfId="0" applyNumberFormat="1" applyFill="1" applyBorder="1"/>
    <xf numFmtId="164" fontId="1" fillId="0" borderId="9" xfId="0" applyNumberFormat="1" applyFont="1" applyFill="1" applyBorder="1"/>
    <xf numFmtId="44" fontId="0" fillId="0" borderId="0" xfId="0" applyNumberFormat="1"/>
    <xf numFmtId="0" fontId="0" fillId="6" borderId="16" xfId="0" applyFill="1" applyBorder="1"/>
    <xf numFmtId="10" fontId="1" fillId="0" borderId="16" xfId="2" applyNumberFormat="1" applyFont="1" applyFill="1" applyBorder="1"/>
    <xf numFmtId="10" fontId="0" fillId="6" borderId="16" xfId="2" applyNumberFormat="1" applyFont="1" applyFill="1" applyBorder="1"/>
    <xf numFmtId="44" fontId="0" fillId="3" borderId="16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zoomScaleNormal="110" workbookViewId="0">
      <selection activeCell="G6" sqref="G6"/>
    </sheetView>
  </sheetViews>
  <sheetFormatPr baseColWidth="10" defaultColWidth="8.83203125" defaultRowHeight="13" x14ac:dyDescent="0.15"/>
  <cols>
    <col min="1" max="1" width="22.5" customWidth="1"/>
    <col min="2" max="2" width="21.5" customWidth="1"/>
    <col min="3" max="3" width="15.5" customWidth="1"/>
    <col min="4" max="5" width="12.6640625" customWidth="1"/>
    <col min="6" max="6" width="14.83203125" customWidth="1"/>
    <col min="7" max="7" width="16.1640625" customWidth="1"/>
    <col min="8" max="8" width="13.1640625" customWidth="1"/>
    <col min="9" max="9" width="14.5" bestFit="1" customWidth="1"/>
    <col min="10" max="10" width="9.1640625" bestFit="1" customWidth="1"/>
    <col min="11" max="11" width="17.33203125" customWidth="1"/>
  </cols>
  <sheetData>
    <row r="1" spans="1:10" ht="14" thickBot="1" x14ac:dyDescent="0.2"/>
    <row r="2" spans="1:10" ht="18" thickBot="1" x14ac:dyDescent="0.3">
      <c r="A2" s="6" t="s">
        <v>0</v>
      </c>
      <c r="B2" s="7"/>
      <c r="C2" s="7"/>
      <c r="E2" s="25"/>
      <c r="F2" s="26"/>
      <c r="G2" s="29" t="s">
        <v>13</v>
      </c>
      <c r="H2" s="29" t="s">
        <v>14</v>
      </c>
      <c r="I2" s="47" t="s">
        <v>15</v>
      </c>
      <c r="J2" s="47" t="s">
        <v>49</v>
      </c>
    </row>
    <row r="3" spans="1:10" x14ac:dyDescent="0.15">
      <c r="E3" s="23" t="s">
        <v>29</v>
      </c>
      <c r="F3" s="48"/>
      <c r="G3" s="51">
        <f>(LYOPEX+LYNP+LYMD+LYALTEXP-LYCD)/100%+LYMD</f>
        <v>0.79999977136252065</v>
      </c>
      <c r="H3" s="51">
        <f>(PLNOPEX+PLNNP+PLNMD+PLNALTEXP-PLNCD)/100%+PLNMD</f>
        <v>0.8</v>
      </c>
      <c r="I3" s="68"/>
      <c r="J3" s="84">
        <v>0.55000000000000004</v>
      </c>
    </row>
    <row r="4" spans="1:10" x14ac:dyDescent="0.15">
      <c r="A4" s="3" t="s">
        <v>1</v>
      </c>
      <c r="B4" s="60" t="s">
        <v>59</v>
      </c>
      <c r="C4" s="2"/>
      <c r="E4" s="37" t="s">
        <v>50</v>
      </c>
      <c r="F4" s="49"/>
      <c r="G4" s="51">
        <f>LYTOTMD/LYSALES</f>
        <v>0.15999988568126031</v>
      </c>
      <c r="H4" s="52">
        <v>0.16</v>
      </c>
      <c r="I4" s="68"/>
      <c r="J4" s="65">
        <v>0.16</v>
      </c>
    </row>
    <row r="5" spans="1:10" x14ac:dyDescent="0.15">
      <c r="A5" s="1"/>
      <c r="E5" s="37" t="s">
        <v>48</v>
      </c>
      <c r="F5" s="49"/>
      <c r="G5" s="51">
        <f>(LYSALES-LYTOTMD)*0.5/LYSALES</f>
        <v>0.42000005715936983</v>
      </c>
      <c r="H5" s="51">
        <f>(PLNSALES-I26)*0.5/PLNSALES</f>
        <v>0.42000000000000004</v>
      </c>
      <c r="I5" s="68"/>
      <c r="J5" s="82"/>
    </row>
    <row r="6" spans="1:10" x14ac:dyDescent="0.15">
      <c r="A6" s="3" t="s">
        <v>2</v>
      </c>
      <c r="B6" s="62">
        <v>4481</v>
      </c>
      <c r="C6" s="2"/>
      <c r="D6" s="8"/>
      <c r="E6" s="24" t="s">
        <v>19</v>
      </c>
      <c r="F6" s="49"/>
      <c r="G6" s="53">
        <v>2.5000000000000001E-2</v>
      </c>
      <c r="H6" s="52">
        <v>0.02</v>
      </c>
      <c r="I6" s="68"/>
      <c r="J6" s="65">
        <v>0.02</v>
      </c>
    </row>
    <row r="7" spans="1:10" x14ac:dyDescent="0.15">
      <c r="A7" s="1"/>
      <c r="E7" s="24" t="s">
        <v>20</v>
      </c>
      <c r="F7" s="49"/>
      <c r="G7" s="53">
        <v>4.4999999999999998E-2</v>
      </c>
      <c r="H7" s="52">
        <v>0.04</v>
      </c>
      <c r="I7" s="68"/>
      <c r="J7" s="65">
        <v>0.04</v>
      </c>
    </row>
    <row r="8" spans="1:10" x14ac:dyDescent="0.15">
      <c r="A8" s="3" t="s">
        <v>3</v>
      </c>
      <c r="B8" s="2" t="s">
        <v>47</v>
      </c>
      <c r="C8" s="2"/>
      <c r="D8" s="8"/>
      <c r="E8" s="24" t="s">
        <v>23</v>
      </c>
      <c r="F8" s="49"/>
      <c r="G8" s="51">
        <f>SUM(G10,G9)</f>
        <v>0.5</v>
      </c>
      <c r="H8" s="51">
        <f>H10+H9</f>
        <v>0.5</v>
      </c>
      <c r="I8" s="68"/>
      <c r="J8" s="65">
        <v>0.5</v>
      </c>
    </row>
    <row r="9" spans="1:10" x14ac:dyDescent="0.15">
      <c r="A9" s="1"/>
      <c r="E9" s="24" t="s">
        <v>21</v>
      </c>
      <c r="F9" s="49"/>
      <c r="G9" s="53">
        <v>0.45</v>
      </c>
      <c r="H9" s="52">
        <v>0.44</v>
      </c>
      <c r="I9" s="68"/>
      <c r="J9" s="83">
        <v>0.42</v>
      </c>
    </row>
    <row r="10" spans="1:10" x14ac:dyDescent="0.15">
      <c r="A10" s="3" t="s">
        <v>25</v>
      </c>
      <c r="B10" s="60" t="s">
        <v>54</v>
      </c>
      <c r="C10" s="2"/>
      <c r="D10" s="8"/>
      <c r="E10" s="24" t="s">
        <v>22</v>
      </c>
      <c r="F10" s="49"/>
      <c r="G10" s="53">
        <v>0.05</v>
      </c>
      <c r="H10" s="52">
        <v>0.06</v>
      </c>
      <c r="I10" s="68"/>
      <c r="J10" s="65">
        <v>0.06</v>
      </c>
    </row>
    <row r="11" spans="1:10" x14ac:dyDescent="0.15">
      <c r="A11" s="1"/>
      <c r="E11" s="37" t="s">
        <v>51</v>
      </c>
      <c r="F11" s="49"/>
      <c r="G11" s="54">
        <f>LYSALES/G12</f>
        <v>5.4766782608695648</v>
      </c>
      <c r="H11" s="54">
        <f>PLNSALES/PLNAVGINV</f>
        <v>6.3629824240981208</v>
      </c>
      <c r="I11" s="69"/>
      <c r="J11" s="66">
        <v>3.5</v>
      </c>
    </row>
    <row r="12" spans="1:10" x14ac:dyDescent="0.15">
      <c r="A12" s="3" t="s">
        <v>5</v>
      </c>
      <c r="B12" s="62">
        <v>1</v>
      </c>
      <c r="C12" s="2"/>
      <c r="D12" s="8"/>
      <c r="E12" s="37" t="s">
        <v>52</v>
      </c>
      <c r="F12" s="49"/>
      <c r="G12" s="55">
        <f>AVERAGE(C30:H30)</f>
        <v>862500</v>
      </c>
      <c r="H12" s="55">
        <f>AVERAGE(C31:H31,H24)</f>
        <v>853716.05450724612</v>
      </c>
      <c r="I12" s="70"/>
      <c r="J12" s="82"/>
    </row>
    <row r="13" spans="1:10" ht="14" thickBot="1" x14ac:dyDescent="0.2">
      <c r="E13" s="59" t="s">
        <v>53</v>
      </c>
      <c r="F13" s="50"/>
      <c r="G13" s="85">
        <f>LYSALES*LYGM/(LYAVGIN*0.5)</f>
        <v>5.4766782608695648</v>
      </c>
      <c r="H13" s="85">
        <f>PLNSALES*PLNGM/(PLNAVGINV*0.5)</f>
        <v>6.3629824240981208</v>
      </c>
      <c r="I13" s="70"/>
      <c r="J13" s="67">
        <v>3.5</v>
      </c>
    </row>
    <row r="15" spans="1:10" ht="14" thickBot="1" x14ac:dyDescent="0.2"/>
    <row r="16" spans="1:10" x14ac:dyDescent="0.15">
      <c r="A16" s="27"/>
      <c r="B16" s="28"/>
      <c r="C16" s="29"/>
      <c r="D16" s="29"/>
      <c r="E16" s="29"/>
      <c r="F16" s="29"/>
      <c r="G16" s="29"/>
      <c r="H16" s="29"/>
      <c r="I16" s="29" t="s">
        <v>17</v>
      </c>
    </row>
    <row r="17" spans="1:11" ht="14" thickBot="1" x14ac:dyDescent="0.2">
      <c r="A17" s="30"/>
      <c r="B17" s="31" t="s">
        <v>12</v>
      </c>
      <c r="C17" s="32" t="s">
        <v>60</v>
      </c>
      <c r="D17" s="32" t="s">
        <v>61</v>
      </c>
      <c r="E17" s="32" t="s">
        <v>55</v>
      </c>
      <c r="F17" s="32" t="s">
        <v>56</v>
      </c>
      <c r="G17" s="32" t="s">
        <v>57</v>
      </c>
      <c r="H17" s="32" t="s">
        <v>58</v>
      </c>
      <c r="I17" s="32" t="s">
        <v>18</v>
      </c>
      <c r="K17" s="15"/>
    </row>
    <row r="18" spans="1:11" x14ac:dyDescent="0.15">
      <c r="A18" s="28" t="s">
        <v>6</v>
      </c>
      <c r="B18" s="5" t="s">
        <v>31</v>
      </c>
      <c r="C18" s="45">
        <f t="shared" ref="C18:H18" si="0">LYSALES*C21</f>
        <v>873243.06585784513</v>
      </c>
      <c r="D18" s="45">
        <f t="shared" si="0"/>
        <v>766249.92248085525</v>
      </c>
      <c r="E18" s="45">
        <f t="shared" si="0"/>
        <v>681318.21176518407</v>
      </c>
      <c r="F18" s="45">
        <f t="shared" si="0"/>
        <v>736991.47025665478</v>
      </c>
      <c r="G18" s="45">
        <f t="shared" si="0"/>
        <v>828622.28321377048</v>
      </c>
      <c r="H18" s="45">
        <f t="shared" si="0"/>
        <v>837210.04642569041</v>
      </c>
      <c r="I18" s="63">
        <v>4723635</v>
      </c>
      <c r="K18" s="63"/>
    </row>
    <row r="19" spans="1:11" x14ac:dyDescent="0.15">
      <c r="A19" s="33"/>
      <c r="B19" s="4" t="s">
        <v>32</v>
      </c>
      <c r="C19" s="41">
        <f t="shared" ref="C19:H19" si="1">PLNSALES*C22</f>
        <v>1004229.5257365219</v>
      </c>
      <c r="D19" s="41">
        <f t="shared" si="1"/>
        <v>881187.41085298348</v>
      </c>
      <c r="E19" s="41">
        <f t="shared" si="1"/>
        <v>783515.94352996175</v>
      </c>
      <c r="F19" s="41">
        <f t="shared" si="1"/>
        <v>847540.19079515291</v>
      </c>
      <c r="G19" s="41">
        <f t="shared" si="1"/>
        <v>952915.62569583603</v>
      </c>
      <c r="H19" s="41">
        <f t="shared" si="1"/>
        <v>962791.5533895439</v>
      </c>
      <c r="I19" s="41">
        <f>LYSALES*1.15</f>
        <v>5432180.25</v>
      </c>
    </row>
    <row r="20" spans="1:11" x14ac:dyDescent="0.15">
      <c r="A20" s="33"/>
      <c r="B20" s="9" t="s">
        <v>16</v>
      </c>
      <c r="C20" s="17">
        <f>(PLNFEB-LYFEB)/LYFEB</f>
        <v>0.15000000000000005</v>
      </c>
      <c r="D20" s="17">
        <f>(PLNMAR-LYMAR)/LYMAR</f>
        <v>0.14999999999999991</v>
      </c>
      <c r="E20" s="17">
        <f>(PLNAPR-LYAPR)/LYAPR</f>
        <v>0.15000000000000011</v>
      </c>
      <c r="F20" s="17">
        <f>(PLNMAY-LYMAY)/LYMAY</f>
        <v>0.14999999999999988</v>
      </c>
      <c r="G20" s="17">
        <f>(PLNJUN-LYJUN)/LYJUN</f>
        <v>0.14999999999999997</v>
      </c>
      <c r="H20" s="17">
        <f>(PLNJUL-LYJUL)/LYJUL</f>
        <v>0.14999999999999991</v>
      </c>
      <c r="I20" s="35">
        <f>(PLNSALES-LYSALES)/LYSALES</f>
        <v>0.15</v>
      </c>
    </row>
    <row r="21" spans="1:11" x14ac:dyDescent="0.15">
      <c r="A21" s="33"/>
      <c r="B21" s="9" t="s">
        <v>26</v>
      </c>
      <c r="C21" s="61">
        <v>0.18486675322243254</v>
      </c>
      <c r="D21" s="61">
        <v>0.16221615820884874</v>
      </c>
      <c r="E21" s="61">
        <v>0.14423599870971912</v>
      </c>
      <c r="F21" s="61">
        <v>0.15602210379435641</v>
      </c>
      <c r="G21" s="61">
        <v>0.17542047241452197</v>
      </c>
      <c r="H21" s="61">
        <v>0.17723851365012122</v>
      </c>
      <c r="I21" s="20">
        <f>SUM(C21:H21)</f>
        <v>1</v>
      </c>
    </row>
    <row r="22" spans="1:11" ht="14" thickBot="1" x14ac:dyDescent="0.2">
      <c r="A22" s="31"/>
      <c r="B22" s="10" t="s">
        <v>30</v>
      </c>
      <c r="C22" s="61">
        <v>0.18486675322243254</v>
      </c>
      <c r="D22" s="61">
        <v>0.16221615820884874</v>
      </c>
      <c r="E22" s="61">
        <v>0.14423599870971912</v>
      </c>
      <c r="F22" s="61">
        <v>0.15602210379435641</v>
      </c>
      <c r="G22" s="61">
        <v>0.17542047241452197</v>
      </c>
      <c r="H22" s="61">
        <v>0.17723851365012122</v>
      </c>
      <c r="I22" s="20">
        <f>SUM(C22:H22)</f>
        <v>1</v>
      </c>
    </row>
    <row r="23" spans="1:11" x14ac:dyDescent="0.15">
      <c r="A23" s="28" t="s">
        <v>7</v>
      </c>
      <c r="B23" s="11" t="s">
        <v>40</v>
      </c>
      <c r="C23" s="21">
        <f>STSMARLY</f>
        <v>770000</v>
      </c>
      <c r="D23" s="21">
        <f>STSAPRLY</f>
        <v>680000</v>
      </c>
      <c r="E23" s="21">
        <f>STSMAYLY</f>
        <v>1100000</v>
      </c>
      <c r="F23" s="21">
        <f>STSJUNLY</f>
        <v>1300000</v>
      </c>
      <c r="G23" s="21">
        <f>STSJULLY</f>
        <v>450000</v>
      </c>
      <c r="H23" s="40">
        <v>100000</v>
      </c>
      <c r="I23" s="72"/>
    </row>
    <row r="24" spans="1:11" ht="14" thickBot="1" x14ac:dyDescent="0.2">
      <c r="A24" s="33"/>
      <c r="B24" s="12" t="s">
        <v>41</v>
      </c>
      <c r="C24" s="18">
        <f>D31</f>
        <v>881187.41085298348</v>
      </c>
      <c r="D24" s="18">
        <f>E31</f>
        <v>783515.94352996175</v>
      </c>
      <c r="E24" s="18">
        <f>F31</f>
        <v>1271310.2861927294</v>
      </c>
      <c r="F24" s="18">
        <f>G31</f>
        <v>1429373.4385437542</v>
      </c>
      <c r="G24" s="18">
        <f>H31</f>
        <v>481395.77669477195</v>
      </c>
      <c r="H24" s="36">
        <f>125000</f>
        <v>125000</v>
      </c>
      <c r="I24" s="71"/>
      <c r="J24" s="56"/>
    </row>
    <row r="25" spans="1:11" x14ac:dyDescent="0.15">
      <c r="A25" s="28" t="s">
        <v>33</v>
      </c>
      <c r="B25" s="13" t="s">
        <v>34</v>
      </c>
      <c r="C25" s="42">
        <f>(LYSALES*0.16)*C29</f>
        <v>75578.16</v>
      </c>
      <c r="D25" s="42">
        <f>755781*D29</f>
        <v>90693.72</v>
      </c>
      <c r="E25" s="42">
        <f>755781*E29</f>
        <v>113367.15</v>
      </c>
      <c r="F25" s="43">
        <f>755781*F29</f>
        <v>226734.3</v>
      </c>
      <c r="G25" s="42">
        <f>755781*G29</f>
        <v>188945.25</v>
      </c>
      <c r="H25" s="42">
        <f>755781*H29</f>
        <v>60462.48</v>
      </c>
      <c r="I25" s="76">
        <f>SUM(C25:H25)</f>
        <v>755781.06</v>
      </c>
      <c r="J25" s="77"/>
      <c r="K25" s="78"/>
    </row>
    <row r="26" spans="1:11" x14ac:dyDescent="0.15">
      <c r="A26" s="33"/>
      <c r="B26" s="9" t="s">
        <v>35</v>
      </c>
      <c r="C26" s="41">
        <f t="shared" ref="C26:H26" si="2">$I$26*C29</f>
        <v>86914.884000000005</v>
      </c>
      <c r="D26" s="41">
        <f t="shared" si="2"/>
        <v>104297.86079999999</v>
      </c>
      <c r="E26" s="41">
        <f t="shared" si="2"/>
        <v>130372.32599999999</v>
      </c>
      <c r="F26" s="41">
        <f t="shared" si="2"/>
        <v>260744.65199999997</v>
      </c>
      <c r="G26" s="41">
        <f t="shared" si="2"/>
        <v>217287.21</v>
      </c>
      <c r="H26" s="41">
        <f t="shared" si="2"/>
        <v>69531.907200000001</v>
      </c>
      <c r="I26" s="57">
        <f>PLNSALES*PLNMD</f>
        <v>869148.84</v>
      </c>
    </row>
    <row r="27" spans="1:11" x14ac:dyDescent="0.15">
      <c r="A27" s="33"/>
      <c r="B27" s="9" t="s">
        <v>16</v>
      </c>
      <c r="C27" s="17">
        <f>(C26-C25)/C25</f>
        <v>0.15000000000000002</v>
      </c>
      <c r="D27" s="17">
        <f>(D26-D25)/D25</f>
        <v>0.15000091296288204</v>
      </c>
      <c r="E27" s="17">
        <f t="shared" ref="E27:I27" si="3">(E26-E25)/E25</f>
        <v>0.15000091296288204</v>
      </c>
      <c r="F27" s="17">
        <f t="shared" si="3"/>
        <v>0.15000091296288204</v>
      </c>
      <c r="G27" s="17">
        <f t="shared" si="3"/>
        <v>0.15000091296288207</v>
      </c>
      <c r="H27" s="17">
        <f t="shared" si="3"/>
        <v>0.15000091296288207</v>
      </c>
      <c r="I27" s="17">
        <f t="shared" si="3"/>
        <v>0.15000082166652853</v>
      </c>
    </row>
    <row r="28" spans="1:11" x14ac:dyDescent="0.15">
      <c r="A28" s="33"/>
      <c r="B28" s="9" t="s">
        <v>36</v>
      </c>
      <c r="C28" s="17">
        <f>C25/I25</f>
        <v>0.10000007144926336</v>
      </c>
      <c r="D28" s="17">
        <f>D25/I25</f>
        <v>0.11999999047343154</v>
      </c>
      <c r="E28" s="17">
        <f>E25/I25</f>
        <v>0.14999998809178941</v>
      </c>
      <c r="F28" s="17">
        <f>F25/I25</f>
        <v>0.29999997618357882</v>
      </c>
      <c r="G28" s="17">
        <f>G25/I25</f>
        <v>0.24999998015298239</v>
      </c>
      <c r="H28" s="17">
        <f>H25/I25</f>
        <v>7.9999993648954368E-2</v>
      </c>
      <c r="I28" s="17">
        <f>SUM(C28:H28)</f>
        <v>1</v>
      </c>
      <c r="J28" s="34"/>
    </row>
    <row r="29" spans="1:11" ht="14" thickBot="1" x14ac:dyDescent="0.2">
      <c r="A29" s="31"/>
      <c r="B29" s="10" t="s">
        <v>46</v>
      </c>
      <c r="C29" s="38">
        <v>0.1</v>
      </c>
      <c r="D29" s="38">
        <v>0.12</v>
      </c>
      <c r="E29" s="38">
        <v>0.15</v>
      </c>
      <c r="F29" s="38">
        <v>0.3</v>
      </c>
      <c r="G29" s="38">
        <v>0.25</v>
      </c>
      <c r="H29" s="38">
        <v>0.08</v>
      </c>
      <c r="I29" s="20">
        <f>SUM(C29:H29)</f>
        <v>0.99999999999999989</v>
      </c>
    </row>
    <row r="30" spans="1:11" x14ac:dyDescent="0.15">
      <c r="A30" s="28" t="s">
        <v>8</v>
      </c>
      <c r="B30" s="11" t="s">
        <v>37</v>
      </c>
      <c r="C30" s="46">
        <v>875000</v>
      </c>
      <c r="D30" s="46">
        <v>770000</v>
      </c>
      <c r="E30" s="46">
        <v>680000</v>
      </c>
      <c r="F30" s="46">
        <v>1100000</v>
      </c>
      <c r="G30" s="46">
        <v>1300000</v>
      </c>
      <c r="H30" s="46">
        <v>450000</v>
      </c>
      <c r="I30" s="72"/>
    </row>
    <row r="31" spans="1:11" x14ac:dyDescent="0.15">
      <c r="A31" s="33"/>
      <c r="B31" s="12" t="s">
        <v>38</v>
      </c>
      <c r="C31" s="44">
        <f>PLFEB*STSAUGPLN</f>
        <v>1004229.5257365219</v>
      </c>
      <c r="D31" s="44">
        <f>PLMAR*STSMARPLN</f>
        <v>881187.41085298348</v>
      </c>
      <c r="E31" s="44">
        <f>PLNAPR*STSAPRPLN</f>
        <v>783515.94352996175</v>
      </c>
      <c r="F31" s="44">
        <f>PLNMAY*STSMAYPLN</f>
        <v>1271310.2861927294</v>
      </c>
      <c r="G31" s="44">
        <f>PLNJUN*STSJUNPLN</f>
        <v>1429373.4385437542</v>
      </c>
      <c r="H31" s="44">
        <f>PLNJUL*STSJULPLN</f>
        <v>481395.77669477195</v>
      </c>
      <c r="I31" s="73"/>
    </row>
    <row r="32" spans="1:11" ht="14" thickBot="1" x14ac:dyDescent="0.2">
      <c r="A32" s="33"/>
      <c r="B32" s="12" t="s">
        <v>27</v>
      </c>
      <c r="C32" s="19">
        <f>STSFEBLY/LYFEB</f>
        <v>1.0020119646073902</v>
      </c>
      <c r="D32" s="19">
        <f>STSMARLY/LYMAR</f>
        <v>1.0048940657729573</v>
      </c>
      <c r="E32" s="19">
        <f>STSAPRLY/LYAPR</f>
        <v>0.99806520397896192</v>
      </c>
      <c r="F32" s="19">
        <f>STSMAYLY/LYMAY</f>
        <v>1.4925545876629056</v>
      </c>
      <c r="G32" s="19">
        <f>STSJUNLY/LYJUN</f>
        <v>1.5688692258649073</v>
      </c>
      <c r="H32" s="19">
        <f>STSJULLY/LYJUL</f>
        <v>0.53749952227781983</v>
      </c>
      <c r="I32" s="74"/>
    </row>
    <row r="33" spans="1:12" ht="14" thickBot="1" x14ac:dyDescent="0.2">
      <c r="A33" s="31"/>
      <c r="B33" s="14" t="s">
        <v>39</v>
      </c>
      <c r="C33" s="39">
        <v>1</v>
      </c>
      <c r="D33" s="39">
        <v>1</v>
      </c>
      <c r="E33" s="39">
        <v>1</v>
      </c>
      <c r="F33" s="39">
        <v>1.5</v>
      </c>
      <c r="G33" s="39">
        <v>1.5</v>
      </c>
      <c r="H33" s="39">
        <v>0.5</v>
      </c>
      <c r="I33" s="74"/>
      <c r="K33" s="79">
        <v>0.5</v>
      </c>
      <c r="L33" s="75" t="s">
        <v>62</v>
      </c>
    </row>
    <row r="34" spans="1:12" x14ac:dyDescent="0.15">
      <c r="A34" s="28" t="s">
        <v>9</v>
      </c>
      <c r="B34" s="11" t="s">
        <v>43</v>
      </c>
      <c r="C34" s="80">
        <f>LYFEB+C23+C25-STSFEBLY</f>
        <v>843821.22585784504</v>
      </c>
      <c r="D34" s="80">
        <f>LYMAR+D23+D25-STSMARLY</f>
        <v>766943.64248085511</v>
      </c>
      <c r="E34" s="22">
        <f>LYAPR+E23+E25-STSAPRLY</f>
        <v>1214685.361765184</v>
      </c>
      <c r="F34" s="22">
        <f>LYMAY+F23+F25-STSMAYLY</f>
        <v>1163725.7702566548</v>
      </c>
      <c r="G34" s="22">
        <f>LYJUN+G23+G25-STSJUNLY</f>
        <v>167567.53321377048</v>
      </c>
      <c r="H34" s="22">
        <f>LYJUL+H23+H25-STSJULLY</f>
        <v>547672.52642569039</v>
      </c>
      <c r="I34" s="22">
        <f>SUM(C34:H34)</f>
        <v>4704416.0599999996</v>
      </c>
    </row>
    <row r="35" spans="1:12" ht="14" thickBot="1" x14ac:dyDescent="0.2">
      <c r="A35" s="33" t="s">
        <v>10</v>
      </c>
      <c r="B35" s="12" t="s">
        <v>42</v>
      </c>
      <c r="C35" s="18">
        <f>PLFEB+C24+C26-C31</f>
        <v>968102.29485298367</v>
      </c>
      <c r="D35" s="18">
        <f>PLMAR+D26+D24-D31</f>
        <v>887813.80432996165</v>
      </c>
      <c r="E35" s="18">
        <f>PLNAPR+E24+E26-E31</f>
        <v>1401682.6121927295</v>
      </c>
      <c r="F35" s="18">
        <f>PLNMAY+F24+F26-F31</f>
        <v>1266347.9951461775</v>
      </c>
      <c r="G35" s="18">
        <f>PLNJUN+G24+G26-G31</f>
        <v>222225.1738468539</v>
      </c>
      <c r="H35" s="18">
        <f>PLNJUL+H24+H26-H31</f>
        <v>675927.68389477197</v>
      </c>
      <c r="I35" s="18">
        <f>SUM(C35:H35)</f>
        <v>5422099.5642634779</v>
      </c>
      <c r="K35" s="16"/>
    </row>
    <row r="36" spans="1:12" x14ac:dyDescent="0.15">
      <c r="A36" s="28" t="s">
        <v>9</v>
      </c>
      <c r="B36" s="11" t="s">
        <v>44</v>
      </c>
      <c r="C36" s="21">
        <f t="shared" ref="C36:H37" si="4">C34*0.5</f>
        <v>421910.61292892252</v>
      </c>
      <c r="D36" s="21">
        <f t="shared" si="4"/>
        <v>383471.82124042755</v>
      </c>
      <c r="E36" s="21">
        <f t="shared" si="4"/>
        <v>607342.68088259199</v>
      </c>
      <c r="F36" s="21">
        <f t="shared" si="4"/>
        <v>581862.88512832741</v>
      </c>
      <c r="G36" s="21">
        <f t="shared" si="4"/>
        <v>83783.766606885241</v>
      </c>
      <c r="H36" s="21">
        <f t="shared" si="4"/>
        <v>273836.2632128452</v>
      </c>
      <c r="I36" s="21">
        <f>SUM(C36:H36)</f>
        <v>2352208.0299999998</v>
      </c>
    </row>
    <row r="37" spans="1:12" ht="14" thickBot="1" x14ac:dyDescent="0.2">
      <c r="A37" s="33" t="s">
        <v>10</v>
      </c>
      <c r="B37" s="14" t="s">
        <v>45</v>
      </c>
      <c r="C37" s="58">
        <f>C35*0.5</f>
        <v>484051.14742649184</v>
      </c>
      <c r="D37" s="58">
        <f t="shared" si="4"/>
        <v>443906.90216498083</v>
      </c>
      <c r="E37" s="58">
        <f t="shared" si="4"/>
        <v>700841.30609636474</v>
      </c>
      <c r="F37" s="58">
        <f t="shared" si="4"/>
        <v>633173.99757308874</v>
      </c>
      <c r="G37" s="58">
        <f t="shared" si="4"/>
        <v>111112.58692342695</v>
      </c>
      <c r="H37" s="58">
        <f t="shared" si="4"/>
        <v>337963.84194738598</v>
      </c>
      <c r="I37" s="58">
        <f>SUM(C37:H37)</f>
        <v>2711049.782131739</v>
      </c>
    </row>
    <row r="38" spans="1:12" x14ac:dyDescent="0.15">
      <c r="I38" s="75" t="s">
        <v>63</v>
      </c>
    </row>
    <row r="40" spans="1:12" x14ac:dyDescent="0.15">
      <c r="A40" s="1" t="s">
        <v>11</v>
      </c>
      <c r="C40">
        <v>755781</v>
      </c>
      <c r="G40" s="1" t="s">
        <v>24</v>
      </c>
    </row>
    <row r="42" spans="1:12" x14ac:dyDescent="0.15">
      <c r="A42" s="3" t="s">
        <v>4</v>
      </c>
      <c r="B42" s="60" t="s">
        <v>54</v>
      </c>
      <c r="C42" s="2"/>
      <c r="D42" s="2"/>
      <c r="E42" s="2"/>
      <c r="G42" s="64">
        <v>44903</v>
      </c>
      <c r="H42" s="2"/>
      <c r="I42" s="2"/>
    </row>
    <row r="44" spans="1:12" x14ac:dyDescent="0.15">
      <c r="A44" s="3" t="s">
        <v>28</v>
      </c>
      <c r="B44" s="2"/>
      <c r="C44" s="2"/>
      <c r="D44" s="2"/>
      <c r="E44" s="2"/>
      <c r="G44" s="2"/>
      <c r="H44" s="2"/>
      <c r="I44" s="2"/>
    </row>
    <row r="47" spans="1:12" x14ac:dyDescent="0.15">
      <c r="C47" s="81"/>
    </row>
  </sheetData>
  <phoneticPr fontId="0" type="noConversion"/>
  <pageMargins left="0.75" right="0.75" top="1" bottom="1" header="0.5" footer="0.5"/>
  <pageSetup scale="6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53</vt:i4>
      </vt:variant>
    </vt:vector>
  </HeadingPairs>
  <TitlesOfParts>
    <vt:vector size="54" baseType="lpstr">
      <vt:lpstr>Six Month Plan</vt:lpstr>
      <vt:lpstr>ALTEXP</vt:lpstr>
      <vt:lpstr>LYALTEXP</vt:lpstr>
      <vt:lpstr>LYAPR</vt:lpstr>
      <vt:lpstr>LYAVGIN</vt:lpstr>
      <vt:lpstr>LYCD</vt:lpstr>
      <vt:lpstr>LYFEB</vt:lpstr>
      <vt:lpstr>LYGM</vt:lpstr>
      <vt:lpstr>LYGMROI</vt:lpstr>
      <vt:lpstr>LYIMU</vt:lpstr>
      <vt:lpstr>LYIT</vt:lpstr>
      <vt:lpstr>LYJUL</vt:lpstr>
      <vt:lpstr>LYJUN</vt:lpstr>
      <vt:lpstr>LYMAR</vt:lpstr>
      <vt:lpstr>LYMAY</vt:lpstr>
      <vt:lpstr>LYMD</vt:lpstr>
      <vt:lpstr>LYMMU</vt:lpstr>
      <vt:lpstr>LYNP</vt:lpstr>
      <vt:lpstr>LYOPEX</vt:lpstr>
      <vt:lpstr>LYSALES</vt:lpstr>
      <vt:lpstr>LYTOTMD</vt:lpstr>
      <vt:lpstr>PLFEB</vt:lpstr>
      <vt:lpstr>PLIMU</vt:lpstr>
      <vt:lpstr>PLMAR</vt:lpstr>
      <vt:lpstr>PLNALTEXP</vt:lpstr>
      <vt:lpstr>PLNAPR</vt:lpstr>
      <vt:lpstr>PLNAVGINV</vt:lpstr>
      <vt:lpstr>PLNCD</vt:lpstr>
      <vt:lpstr>PLNFEB</vt:lpstr>
      <vt:lpstr>PLNGM</vt:lpstr>
      <vt:lpstr>PLNGMROI</vt:lpstr>
      <vt:lpstr>PLNIT</vt:lpstr>
      <vt:lpstr>PLNJUL</vt:lpstr>
      <vt:lpstr>PLNJUN</vt:lpstr>
      <vt:lpstr>PLNMAR</vt:lpstr>
      <vt:lpstr>PLNMAY</vt:lpstr>
      <vt:lpstr>PLNMD</vt:lpstr>
      <vt:lpstr>PLNMMU</vt:lpstr>
      <vt:lpstr>PLNNP</vt:lpstr>
      <vt:lpstr>PLNOPEX</vt:lpstr>
      <vt:lpstr>PLNSALES</vt:lpstr>
      <vt:lpstr>STSAPRLY</vt:lpstr>
      <vt:lpstr>STSAPRPLN</vt:lpstr>
      <vt:lpstr>STSAUGPLN</vt:lpstr>
      <vt:lpstr>STSFEBLY</vt:lpstr>
      <vt:lpstr>STSFEBPLN</vt:lpstr>
      <vt:lpstr>STSJULLY</vt:lpstr>
      <vt:lpstr>STSJULPLN</vt:lpstr>
      <vt:lpstr>STSJUNLY</vt:lpstr>
      <vt:lpstr>STSJUNPLN</vt:lpstr>
      <vt:lpstr>STSMARLY</vt:lpstr>
      <vt:lpstr>STSMARPLN</vt:lpstr>
      <vt:lpstr>STSMAYLY</vt:lpstr>
      <vt:lpstr>STSMAYPLN</vt:lpstr>
    </vt:vector>
  </TitlesOfParts>
  <Company>SWT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Agriculture Computing Lab</dc:creator>
  <cp:lastModifiedBy>Leah Brainerd</cp:lastModifiedBy>
  <cp:lastPrinted>2011-04-07T22:47:27Z</cp:lastPrinted>
  <dcterms:created xsi:type="dcterms:W3CDTF">1999-04-15T18:40:06Z</dcterms:created>
  <dcterms:modified xsi:type="dcterms:W3CDTF">2022-12-08T15:49:00Z</dcterms:modified>
</cp:coreProperties>
</file>